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50" windowWidth="12960" windowHeight="8385" tabRatio="782" activeTab="1"/>
  </bookViews>
  <sheets>
    <sheet name="Intro" sheetId="1" r:id="rId1"/>
    <sheet name="MarketingClubRented" sheetId="2" r:id="rId2"/>
    <sheet name="Marketing ClubOwned" sheetId="3" r:id="rId3"/>
  </sheets>
  <definedNames>
    <definedName name="_xlnm.Print_Area" localSheetId="0">'Intro'!$A$1:$J$31</definedName>
    <definedName name="_xlnm.Print_Area" localSheetId="1">'MarketingClubRented'!$A$1:$L$38</definedName>
  </definedNames>
  <calcPr fullCalcOnLoad="1"/>
</workbook>
</file>

<file path=xl/sharedStrings.xml><?xml version="1.0" encoding="utf-8"?>
<sst xmlns="http://schemas.openxmlformats.org/spreadsheetml/2006/main" count="235" uniqueCount="95">
  <si>
    <t>Yield</t>
  </si>
  <si>
    <t>Price</t>
  </si>
  <si>
    <t>Income</t>
  </si>
  <si>
    <t>Corn</t>
  </si>
  <si>
    <t>Variable costs:</t>
  </si>
  <si>
    <t xml:space="preserve"> seed</t>
  </si>
  <si>
    <t xml:space="preserve"> herbicide</t>
  </si>
  <si>
    <t xml:space="preserve"> fungicide</t>
  </si>
  <si>
    <t xml:space="preserve"> insecticide</t>
  </si>
  <si>
    <t xml:space="preserve"> fertilizer</t>
  </si>
  <si>
    <t xml:space="preserve"> crop insurance</t>
  </si>
  <si>
    <t xml:space="preserve"> fuel &amp; lube</t>
  </si>
  <si>
    <t xml:space="preserve"> repairs</t>
  </si>
  <si>
    <t xml:space="preserve"> drying</t>
  </si>
  <si>
    <t xml:space="preserve"> misc.</t>
  </si>
  <si>
    <t xml:space="preserve"> operating int.</t>
  </si>
  <si>
    <t xml:space="preserve">Expected local cash price for      </t>
  </si>
  <si>
    <t>Base ROVC</t>
  </si>
  <si>
    <t>ROVC intermediate step</t>
  </si>
  <si>
    <t>Other Calculations:</t>
  </si>
  <si>
    <t>Error Check for mult. base crops</t>
  </si>
  <si>
    <t>Return over</t>
  </si>
  <si>
    <t>Base crop = 1</t>
  </si>
  <si>
    <t>Total var.costs</t>
  </si>
  <si>
    <t>variable costs</t>
  </si>
  <si>
    <t>Enter the futures price for</t>
  </si>
  <si>
    <t>Enter your expected local basis</t>
  </si>
  <si>
    <t xml:space="preserve">           to account for any differences between crops in fixed costs, labor, management and risk.</t>
  </si>
  <si>
    <t>Developed by: Dwight Aakre and Andrew Swenson, NDSU Extension Service</t>
  </si>
  <si>
    <t xml:space="preserve">        CROP COMPARE       </t>
  </si>
  <si>
    <t>Version:11.13.06</t>
  </si>
  <si>
    <t>Instructions:</t>
  </si>
  <si>
    <t>Adjustments for Fixed Costs:</t>
  </si>
  <si>
    <t>**NDSU and its entities makes no warranties, either expressed or implied, concerning this program.**</t>
  </si>
  <si>
    <t>The underlying assumption is that fixed costs, such as machinery ownership, land, and owner’s labor and</t>
  </si>
  <si>
    <t>potential crop for which you do not have all the necessary equipment, there will likely be additional fixed</t>
  </si>
  <si>
    <t>Additional labor, management and risk associated with one crop may or may not be considered.  If the</t>
  </si>
  <si>
    <t>labor and management is hired it should be included in the variable costs.  If all the labor and management</t>
  </si>
  <si>
    <t>situation, you may want to include some value if you feel you would only want to produce this crop if you</t>
  </si>
  <si>
    <t xml:space="preserve">were rewarded for the extra time and management involved with this crop over other options.  </t>
  </si>
  <si>
    <t>A similar rationale could be used if a crop was considered higher risk. Any additional charges should be</t>
  </si>
  <si>
    <t>included as a miscellaneous cost.</t>
  </si>
  <si>
    <t>is owner-operator contribution it would be considered a fixed cost and could be excluded.  Even in this</t>
  </si>
  <si>
    <t xml:space="preserve">management, do not change between crop choices and therefore do not need to be included in the analysis. </t>
  </si>
  <si>
    <t>In practice, there may be differences in fixed costs that should be considered.  If you are considering a</t>
  </si>
  <si>
    <t>costs.   For example, if you are considering corn but would have to purchase a corn planter, there would be</t>
  </si>
  <si>
    <t>considered a variable cost and should be included as a miscellaneous cost.</t>
  </si>
  <si>
    <t>Another option would be to hire someone to plant corn.  In this case the custom planting charge would be</t>
  </si>
  <si>
    <t>an additional fixed cost for machinery ownership that should be entered.  A per acre amount, about 10</t>
  </si>
  <si>
    <t>percent of the purchase price divided by the number of expected corn acres, could be entered under “misc.”</t>
  </si>
  <si>
    <t>Scroll down to view map of regions</t>
  </si>
  <si>
    <t>Select your region using the tabs at the bottom of this screen.  Designate a "base crop" and enter its</t>
  </si>
  <si>
    <t>expected price.  The prices of competing crops that are necessary to provide the same return over variable</t>
  </si>
  <si>
    <t>costs as the base crop are displayed.   The yields per harvested acre are seven year, 1999-2005, olympic</t>
  </si>
  <si>
    <t>averages.  The variable costs are from the NDSU 2006 projected budgets with minor adjustments.  The</t>
  </si>
  <si>
    <t>yields and variable costs are only guides for large multi-county regions.  Please enter your own information.</t>
  </si>
  <si>
    <t>Entries can be made in the yellow colored cells.</t>
  </si>
  <si>
    <t>Sweet Corn</t>
  </si>
  <si>
    <t>Soybeans</t>
  </si>
  <si>
    <t xml:space="preserve"> rent</t>
  </si>
  <si>
    <t xml:space="preserve"> custom hire</t>
  </si>
  <si>
    <t>Peas</t>
  </si>
  <si>
    <t xml:space="preserve"> trucking</t>
  </si>
  <si>
    <t>Wheat</t>
  </si>
  <si>
    <t xml:space="preserve"> </t>
  </si>
  <si>
    <t>Alfalfa</t>
  </si>
  <si>
    <t>Establish</t>
  </si>
  <si>
    <t>Established</t>
  </si>
  <si>
    <t>Cost Range</t>
  </si>
  <si>
    <t>Enter&gt;&gt;&gt;&gt;&gt;&gt;</t>
  </si>
  <si>
    <t>Protected</t>
  </si>
  <si>
    <t>1.80-2.20</t>
  </si>
  <si>
    <t>Overhead Cost</t>
  </si>
  <si>
    <t>Estimated Net</t>
  </si>
  <si>
    <t>Soybean</t>
  </si>
  <si>
    <t>Sweet</t>
  </si>
  <si>
    <t>Overhead</t>
  </si>
  <si>
    <t>Owned</t>
  </si>
  <si>
    <t>22.50-27.50</t>
  </si>
  <si>
    <t>36.00-44.00</t>
  </si>
  <si>
    <t>18.00-22.00</t>
  </si>
  <si>
    <t>Rented</t>
  </si>
  <si>
    <t>SE MN</t>
  </si>
  <si>
    <t>24.75-30.25</t>
  </si>
  <si>
    <t>90.00-110</t>
  </si>
  <si>
    <t>28.80-35.20</t>
  </si>
  <si>
    <t>Irrigation</t>
  </si>
  <si>
    <t>10.00-20.00</t>
  </si>
  <si>
    <t>Var Cost/Unit</t>
  </si>
  <si>
    <t>Total Cost/Unit</t>
  </si>
  <si>
    <r>
      <t>Note</t>
    </r>
    <r>
      <rPr>
        <sz val="10"/>
        <rFont val="Arial"/>
        <family val="0"/>
      </rPr>
      <t xml:space="preserve">: - Variable and Overhead costs are considered in this comparison. You can include an amount under "misc."  </t>
    </r>
  </si>
  <si>
    <t>Cash Price for Breakeven Return over Variable Costs - Base Crop is CORN</t>
  </si>
  <si>
    <t>225.00-275.00</t>
  </si>
  <si>
    <t>25.20-30.50</t>
  </si>
  <si>
    <t>13.05-15.95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</si>
</sst>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2" borderId="1" xfId="0" applyNumberFormat="1" applyFill="1" applyBorder="1" applyAlignment="1" applyProtection="1">
      <alignment/>
      <protection locked="0"/>
    </xf>
    <xf numFmtId="0" fontId="0" fillId="0" borderId="1" xfId="0" applyBorder="1" applyAlignment="1" quotePrefix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4" fontId="0" fillId="2" borderId="1" xfId="0" applyNumberFormat="1" applyFill="1" applyBorder="1" applyAlignment="1" applyProtection="1">
      <alignment/>
      <protection locked="0"/>
    </xf>
    <xf numFmtId="2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44" fontId="0" fillId="4" borderId="1" xfId="17" applyFont="1" applyFill="1" applyBorder="1" applyAlignment="1" applyProtection="1">
      <alignment horizontal="center"/>
      <protection/>
    </xf>
    <xf numFmtId="44" fontId="0" fillId="4" borderId="1" xfId="17" applyFill="1" applyBorder="1" applyAlignment="1" applyProtection="1">
      <alignment horizontal="center"/>
      <protection/>
    </xf>
    <xf numFmtId="44" fontId="2" fillId="4" borderId="1" xfId="17" applyFont="1" applyFill="1" applyBorder="1" applyAlignment="1" applyProtection="1">
      <alignment horizontal="center"/>
      <protection/>
    </xf>
    <xf numFmtId="4" fontId="0" fillId="0" borderId="1" xfId="0" applyNumberFormat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5" borderId="1" xfId="0" applyFill="1" applyBorder="1" applyAlignment="1">
      <alignment/>
    </xf>
    <xf numFmtId="44" fontId="0" fillId="5" borderId="1" xfId="17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4" fontId="0" fillId="0" borderId="1" xfId="17" applyFill="1" applyBorder="1" applyAlignment="1">
      <alignment/>
    </xf>
    <xf numFmtId="0" fontId="0" fillId="0" borderId="3" xfId="0" applyBorder="1" applyAlignment="1">
      <alignment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 applyProtection="1">
      <alignment/>
      <protection locked="0"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 applyProtection="1">
      <alignment/>
      <protection locked="0"/>
    </xf>
    <xf numFmtId="0" fontId="0" fillId="0" borderId="1" xfId="0" applyBorder="1" applyAlignment="1">
      <alignment horizontal="right"/>
    </xf>
    <xf numFmtId="0" fontId="0" fillId="0" borderId="4" xfId="0" applyFont="1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2" borderId="6" xfId="0" applyNumberFormat="1" applyFill="1" applyBorder="1" applyAlignment="1" applyProtection="1">
      <alignment/>
      <protection locked="0"/>
    </xf>
    <xf numFmtId="164" fontId="0" fillId="2" borderId="7" xfId="0" applyNumberFormat="1" applyFill="1" applyBorder="1" applyAlignment="1" applyProtection="1">
      <alignment/>
      <protection locked="0"/>
    </xf>
    <xf numFmtId="164" fontId="0" fillId="5" borderId="8" xfId="0" applyNumberFormat="1" applyFont="1" applyFill="1" applyBorder="1" applyAlignment="1">
      <alignment/>
    </xf>
    <xf numFmtId="0" fontId="2" fillId="4" borderId="4" xfId="0" applyFont="1" applyFill="1" applyBorder="1" applyAlignment="1" applyProtection="1">
      <alignment horizontal="center"/>
      <protection/>
    </xf>
    <xf numFmtId="0" fontId="0" fillId="0" borderId="5" xfId="0" applyNumberFormat="1" applyFill="1" applyBorder="1" applyAlignment="1" applyProtection="1">
      <alignment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right"/>
      <protection locked="0"/>
    </xf>
    <xf numFmtId="4" fontId="0" fillId="6" borderId="3" xfId="0" applyNumberFormat="1" applyFont="1" applyFill="1" applyBorder="1" applyAlignment="1">
      <alignment/>
    </xf>
    <xf numFmtId="0" fontId="0" fillId="2" borderId="9" xfId="0" applyNumberFormat="1" applyFill="1" applyBorder="1" applyAlignment="1" applyProtection="1">
      <alignment/>
      <protection locked="0"/>
    </xf>
    <xf numFmtId="0" fontId="0" fillId="2" borderId="10" xfId="0" applyNumberFormat="1" applyFill="1" applyBorder="1" applyAlignment="1" applyProtection="1">
      <alignment/>
      <protection locked="0"/>
    </xf>
    <xf numFmtId="0" fontId="0" fillId="2" borderId="11" xfId="0" applyNumberFormat="1" applyFill="1" applyBorder="1" applyAlignment="1" applyProtection="1">
      <alignment/>
      <protection locked="0"/>
    </xf>
    <xf numFmtId="164" fontId="2" fillId="0" borderId="1" xfId="0" applyNumberFormat="1" applyFont="1" applyBorder="1" applyAlignment="1">
      <alignment/>
    </xf>
    <xf numFmtId="44" fontId="0" fillId="5" borderId="1" xfId="17" applyFont="1" applyFill="1" applyBorder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34</xdr:row>
      <xdr:rowOff>57150</xdr:rowOff>
    </xdr:from>
    <xdr:to>
      <xdr:col>10</xdr:col>
      <xdr:colOff>276225</xdr:colOff>
      <xdr:row>61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6292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workbookViewId="0" topLeftCell="A64">
      <selection activeCell="C1" sqref="C1:F1"/>
    </sheetView>
  </sheetViews>
  <sheetFormatPr defaultColWidth="9.140625" defaultRowHeight="12.75"/>
  <cols>
    <col min="1" max="16384" width="9.140625" style="11" customWidth="1"/>
  </cols>
  <sheetData>
    <row r="1" spans="1:8" s="8" customFormat="1" ht="18">
      <c r="A1" s="7"/>
      <c r="B1" s="7"/>
      <c r="C1" s="69" t="s">
        <v>29</v>
      </c>
      <c r="D1" s="69"/>
      <c r="E1" s="69"/>
      <c r="F1" s="69"/>
      <c r="G1" s="9" t="s">
        <v>30</v>
      </c>
      <c r="H1" s="9"/>
    </row>
    <row r="2" spans="1:5" s="8" customFormat="1" ht="12.75">
      <c r="A2" s="9" t="s">
        <v>28</v>
      </c>
      <c r="C2" s="10"/>
      <c r="D2" s="10"/>
      <c r="E2" s="10"/>
    </row>
    <row r="4" spans="1:9" ht="12.75">
      <c r="A4" s="12" t="s">
        <v>31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14" t="s">
        <v>51</v>
      </c>
      <c r="B5" s="12"/>
      <c r="C5" s="12"/>
      <c r="D5" s="12"/>
      <c r="E5" s="12"/>
      <c r="F5" s="12"/>
      <c r="G5" s="12"/>
      <c r="H5" s="12"/>
      <c r="I5" s="12"/>
    </row>
    <row r="6" ht="12.75">
      <c r="A6" s="11" t="s">
        <v>52</v>
      </c>
    </row>
    <row r="7" ht="12.75">
      <c r="A7" s="11" t="s">
        <v>53</v>
      </c>
    </row>
    <row r="8" ht="12.75">
      <c r="A8" s="11" t="s">
        <v>54</v>
      </c>
    </row>
    <row r="9" ht="12.75">
      <c r="A9" s="11" t="s">
        <v>55</v>
      </c>
    </row>
    <row r="10" ht="12.75">
      <c r="A10" s="11" t="s">
        <v>56</v>
      </c>
    </row>
    <row r="12" spans="1:10" ht="12.75">
      <c r="A12" s="12" t="s">
        <v>32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2.75">
      <c r="A13" s="11" t="s">
        <v>34</v>
      </c>
    </row>
    <row r="14" ht="12.75">
      <c r="A14" s="11" t="s">
        <v>43</v>
      </c>
    </row>
    <row r="15" ht="12.75">
      <c r="A15" s="11" t="s">
        <v>44</v>
      </c>
    </row>
    <row r="16" ht="12.75">
      <c r="A16" s="11" t="s">
        <v>35</v>
      </c>
    </row>
    <row r="17" ht="12.75">
      <c r="A17" s="11" t="s">
        <v>45</v>
      </c>
    </row>
    <row r="18" ht="12.75">
      <c r="A18" s="11" t="s">
        <v>48</v>
      </c>
    </row>
    <row r="19" ht="12.75">
      <c r="A19" s="11" t="s">
        <v>49</v>
      </c>
    </row>
    <row r="20" ht="12.75">
      <c r="A20" s="11" t="s">
        <v>47</v>
      </c>
    </row>
    <row r="21" ht="12.75">
      <c r="A21" s="11" t="s">
        <v>46</v>
      </c>
    </row>
    <row r="23" ht="12.75">
      <c r="A23" s="11" t="s">
        <v>36</v>
      </c>
    </row>
    <row r="24" ht="12.75">
      <c r="A24" s="11" t="s">
        <v>37</v>
      </c>
    </row>
    <row r="25" ht="12.75">
      <c r="A25" s="11" t="s">
        <v>42</v>
      </c>
    </row>
    <row r="26" ht="12.75">
      <c r="A26" s="11" t="s">
        <v>38</v>
      </c>
    </row>
    <row r="27" ht="12.75">
      <c r="A27" s="11" t="s">
        <v>39</v>
      </c>
    </row>
    <row r="28" ht="12.75">
      <c r="A28" s="11" t="s">
        <v>40</v>
      </c>
    </row>
    <row r="29" ht="12.75">
      <c r="A29" s="11" t="s">
        <v>41</v>
      </c>
    </row>
    <row r="31" ht="12.75">
      <c r="A31" s="11" t="s">
        <v>33</v>
      </c>
    </row>
    <row r="33" ht="12.75">
      <c r="D33" s="13" t="s">
        <v>50</v>
      </c>
    </row>
  </sheetData>
  <sheetProtection sheet="1" objects="1" scenarios="1"/>
  <mergeCells count="1">
    <mergeCell ref="C1:F1"/>
  </mergeCells>
  <printOptions/>
  <pageMargins left="0.75" right="0.2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showGridLines="0" tabSelected="1" zoomScale="90" zoomScaleNormal="90" workbookViewId="0" topLeftCell="A1">
      <selection activeCell="Q16" sqref="Q16"/>
    </sheetView>
  </sheetViews>
  <sheetFormatPr defaultColWidth="9.140625" defaultRowHeight="12.75"/>
  <cols>
    <col min="1" max="1" width="14.8515625" style="0" customWidth="1"/>
    <col min="2" max="2" width="13.140625" style="30" customWidth="1"/>
    <col min="3" max="3" width="8.8515625" style="0" customWidth="1"/>
    <col min="4" max="4" width="9.8515625" style="0" bestFit="1" customWidth="1"/>
    <col min="5" max="5" width="11.57421875" style="0" bestFit="1" customWidth="1"/>
    <col min="6" max="8" width="8.8515625" style="0" customWidth="1"/>
    <col min="9" max="9" width="11.28125" style="0" bestFit="1" customWidth="1"/>
    <col min="10" max="10" width="2.28125" style="5" customWidth="1"/>
    <col min="11" max="11" width="8.8515625" style="0" customWidth="1"/>
    <col min="12" max="12" width="9.57421875" style="0" bestFit="1" customWidth="1"/>
    <col min="13" max="13" width="8.8515625" style="0" customWidth="1"/>
  </cols>
  <sheetData>
    <row r="1" spans="1:20" ht="12.75">
      <c r="A1" s="15" t="s">
        <v>91</v>
      </c>
      <c r="B1" s="28"/>
      <c r="C1" s="16"/>
      <c r="D1" s="16"/>
      <c r="E1" s="16"/>
      <c r="F1" s="16"/>
      <c r="G1" s="16"/>
      <c r="H1" s="15"/>
      <c r="I1" s="16"/>
      <c r="J1" s="19"/>
      <c r="K1" s="16"/>
      <c r="L1" s="15" t="s">
        <v>64</v>
      </c>
      <c r="T1" s="2"/>
    </row>
    <row r="2" spans="1:12" ht="13.5" thickBot="1">
      <c r="A2" s="16"/>
      <c r="B2" s="29"/>
      <c r="C2" s="16"/>
      <c r="D2" s="15"/>
      <c r="E2" s="15"/>
      <c r="F2" s="16"/>
      <c r="G2" s="38"/>
      <c r="H2" s="16"/>
      <c r="I2" s="16"/>
      <c r="J2" s="19"/>
      <c r="K2" s="16"/>
      <c r="L2" s="16"/>
    </row>
    <row r="3" spans="1:19" ht="12.75">
      <c r="A3" s="16"/>
      <c r="B3" s="29"/>
      <c r="C3" s="16" t="s">
        <v>25</v>
      </c>
      <c r="D3" s="16"/>
      <c r="E3" s="16"/>
      <c r="F3" s="53" t="str">
        <f>HLOOKUP(1,C7:M8,2,FALSE)</f>
        <v>Corn</v>
      </c>
      <c r="G3" s="56">
        <v>4.015</v>
      </c>
      <c r="H3" s="55"/>
      <c r="I3" s="16"/>
      <c r="J3" s="19"/>
      <c r="K3" s="16"/>
      <c r="L3" s="16"/>
      <c r="S3" s="3"/>
    </row>
    <row r="4" spans="1:12" ht="12.75">
      <c r="A4" s="16"/>
      <c r="B4" s="29"/>
      <c r="C4" s="16" t="s">
        <v>26</v>
      </c>
      <c r="D4" s="16"/>
      <c r="E4" s="16"/>
      <c r="F4" s="54"/>
      <c r="G4" s="57">
        <v>0.2</v>
      </c>
      <c r="H4" s="55"/>
      <c r="I4" s="16"/>
      <c r="J4" s="19"/>
      <c r="K4" s="16"/>
      <c r="L4" s="16"/>
    </row>
    <row r="5" spans="1:24" ht="13.5" thickBot="1">
      <c r="A5" s="16"/>
      <c r="B5" s="29"/>
      <c r="C5" s="16" t="s">
        <v>16</v>
      </c>
      <c r="D5" s="16"/>
      <c r="E5" s="16"/>
      <c r="F5" s="53" t="str">
        <f>F3</f>
        <v>Corn</v>
      </c>
      <c r="G5" s="58">
        <f>G3-G4</f>
        <v>3.8149999999999995</v>
      </c>
      <c r="H5" s="55"/>
      <c r="I5" s="16"/>
      <c r="J5" s="19"/>
      <c r="K5" s="16"/>
      <c r="L5" s="16"/>
      <c r="X5" t="s">
        <v>19</v>
      </c>
    </row>
    <row r="6" spans="1:27" ht="12.75">
      <c r="A6" s="16"/>
      <c r="B6" s="29"/>
      <c r="C6" s="16"/>
      <c r="D6" s="16"/>
      <c r="E6" s="16"/>
      <c r="F6" s="18"/>
      <c r="G6" s="44"/>
      <c r="H6" s="16"/>
      <c r="I6" s="16"/>
      <c r="J6" s="19"/>
      <c r="K6" s="16"/>
      <c r="L6" s="16"/>
      <c r="X6" t="s">
        <v>20</v>
      </c>
      <c r="AA6">
        <f>IF(SUM(X7:Z7)=1,1,"error")</f>
        <v>1</v>
      </c>
    </row>
    <row r="7" spans="1:26" ht="12.75">
      <c r="A7" s="16" t="s">
        <v>22</v>
      </c>
      <c r="B7" s="29"/>
      <c r="C7" s="27">
        <v>1</v>
      </c>
      <c r="D7" s="6">
        <v>0</v>
      </c>
      <c r="E7" s="6">
        <v>0</v>
      </c>
      <c r="F7" s="24">
        <f>IF(SUM(C7:E7)&lt;&gt;1,"&lt;=Enter 1 for only one crop to assign it as the base crop.","")</f>
      </c>
      <c r="G7" s="25"/>
      <c r="H7" s="26" t="s">
        <v>66</v>
      </c>
      <c r="I7" s="26" t="s">
        <v>67</v>
      </c>
      <c r="J7" s="42"/>
      <c r="K7" s="42"/>
      <c r="L7" s="42"/>
      <c r="M7" s="5"/>
      <c r="O7" s="4"/>
      <c r="X7">
        <f>IF(C7=1,1,0)</f>
        <v>1</v>
      </c>
      <c r="Y7">
        <f>IF(D7=1,1,0)</f>
        <v>0</v>
      </c>
      <c r="Z7">
        <f>IF(E7=1,1,0)</f>
        <v>0</v>
      </c>
    </row>
    <row r="8" spans="1:12" ht="13.5" thickBot="1">
      <c r="A8" s="16"/>
      <c r="B8" s="31" t="s">
        <v>68</v>
      </c>
      <c r="C8" s="61" t="s">
        <v>3</v>
      </c>
      <c r="D8" s="62" t="s">
        <v>58</v>
      </c>
      <c r="E8" s="62" t="s">
        <v>57</v>
      </c>
      <c r="F8" s="61" t="s">
        <v>61</v>
      </c>
      <c r="G8" s="61" t="s">
        <v>63</v>
      </c>
      <c r="H8" s="61" t="s">
        <v>65</v>
      </c>
      <c r="I8" s="61" t="s">
        <v>65</v>
      </c>
      <c r="J8" s="45"/>
      <c r="K8" s="19"/>
      <c r="L8" s="42"/>
    </row>
    <row r="9" spans="1:24" ht="13.5" thickBot="1">
      <c r="A9" s="16" t="s">
        <v>0</v>
      </c>
      <c r="B9" s="59" t="s">
        <v>69</v>
      </c>
      <c r="C9" s="64">
        <v>175</v>
      </c>
      <c r="D9" s="65">
        <v>42</v>
      </c>
      <c r="E9" s="65">
        <v>7.5</v>
      </c>
      <c r="F9" s="65">
        <v>3500</v>
      </c>
      <c r="G9" s="65">
        <v>50</v>
      </c>
      <c r="H9" s="65">
        <v>3</v>
      </c>
      <c r="I9" s="66">
        <v>4.5</v>
      </c>
      <c r="J9" s="60"/>
      <c r="K9" s="42"/>
      <c r="L9" s="43"/>
      <c r="X9" t="s">
        <v>18</v>
      </c>
    </row>
    <row r="10" spans="1:26" ht="12.75">
      <c r="A10" s="16" t="s">
        <v>1</v>
      </c>
      <c r="B10" s="31" t="s">
        <v>70</v>
      </c>
      <c r="C10" s="63">
        <f>IF($AA$6=1,IF(C7=1,$G$5,C11/C9),"      -------")</f>
        <v>3.8149999999999995</v>
      </c>
      <c r="D10" s="63">
        <f>IF($AA$6=1,IF(D7=1,$G$5,D11/D9),"      -------")</f>
        <v>10.101179761904758</v>
      </c>
      <c r="E10" s="63">
        <f>IF($AA$6=1,IF(E7=1,$G$5,E11/E9),"      -------")</f>
        <v>58.93575999999997</v>
      </c>
      <c r="F10" s="63">
        <f>IF($AA$6=1,F11/F9,"      -------")</f>
        <v>0.09936977142857138</v>
      </c>
      <c r="G10" s="63">
        <f>IF($AA$6=1,G11/G9,"      -------")</f>
        <v>7.596731999999998</v>
      </c>
      <c r="H10" s="63">
        <f>IF($AA$6=1,H11/H9,"      -------")</f>
        <v>147.21459999999996</v>
      </c>
      <c r="I10" s="63">
        <f>IF($AA$6=1,I11/I9,"      -------")</f>
        <v>87.95799999999996</v>
      </c>
      <c r="J10" s="46"/>
      <c r="K10" s="42"/>
      <c r="L10" s="43"/>
      <c r="X10">
        <f>IF(C7=1,C31,0)</f>
        <v>90.93499999999983</v>
      </c>
      <c r="Y10">
        <f>IF(D7=1,D31,0)</f>
        <v>0</v>
      </c>
      <c r="Z10">
        <f>IF(E7=1,E31,0)</f>
        <v>0</v>
      </c>
    </row>
    <row r="11" spans="1:24" ht="12.75">
      <c r="A11" s="16" t="s">
        <v>2</v>
      </c>
      <c r="B11" s="31" t="s">
        <v>70</v>
      </c>
      <c r="C11" s="36">
        <f>IF($AA$6=1,IF(C7=1,C9*C10,$X$12+C29),"      -------")</f>
        <v>667.6249999999999</v>
      </c>
      <c r="D11" s="36">
        <f>IF($AA$6=1,IF(D7=1,D9*D10,$X$12+D29),"      -------")</f>
        <v>424.24954999999983</v>
      </c>
      <c r="E11" s="36">
        <f>IF($AA$6=1,IF(E7=1,E9*E10,$X$12+E29),"      -------")</f>
        <v>442.0181999999998</v>
      </c>
      <c r="F11" s="36">
        <f>IF($AA$6=1,$X$12+F29,"      -------")</f>
        <v>347.7941999999998</v>
      </c>
      <c r="G11" s="36">
        <f>IF($AA$6=1,$X$12+G29,"      -------")</f>
        <v>379.83659999999986</v>
      </c>
      <c r="H11" s="36">
        <f>IF($AA$6=1,$X$12+H29,"      -------")</f>
        <v>441.6437999999999</v>
      </c>
      <c r="I11" s="36">
        <f>IF($AA$6=1,$X$12+I29,"      -------")</f>
        <v>395.8109999999998</v>
      </c>
      <c r="J11" s="47"/>
      <c r="K11" s="42"/>
      <c r="L11" s="43"/>
      <c r="X11" t="s">
        <v>17</v>
      </c>
    </row>
    <row r="12" spans="1:24" ht="12.75">
      <c r="A12" s="16"/>
      <c r="B12" s="32"/>
      <c r="C12" s="20"/>
      <c r="D12" s="20"/>
      <c r="E12" s="20"/>
      <c r="F12" s="20"/>
      <c r="G12" s="20"/>
      <c r="H12" s="20"/>
      <c r="I12" s="20"/>
      <c r="J12" s="48"/>
      <c r="K12" s="42"/>
      <c r="L12" s="43"/>
      <c r="X12">
        <f>SUM(X10:AH10)</f>
        <v>90.93499999999983</v>
      </c>
    </row>
    <row r="13" spans="1:12" ht="12.75">
      <c r="A13" s="15" t="s">
        <v>4</v>
      </c>
      <c r="B13" s="32"/>
      <c r="C13" s="20"/>
      <c r="D13" s="20"/>
      <c r="E13" s="20"/>
      <c r="F13" s="20"/>
      <c r="G13" s="20"/>
      <c r="H13" s="20"/>
      <c r="I13" s="20"/>
      <c r="J13" s="48"/>
      <c r="K13" s="42"/>
      <c r="L13" s="43"/>
    </row>
    <row r="14" spans="1:12" ht="12.75">
      <c r="A14" s="52" t="s">
        <v>5</v>
      </c>
      <c r="B14" s="33" t="s">
        <v>84</v>
      </c>
      <c r="C14" s="21">
        <v>100</v>
      </c>
      <c r="D14" s="21">
        <v>45.7</v>
      </c>
      <c r="E14" s="21" t="s">
        <v>64</v>
      </c>
      <c r="F14" s="21" t="s">
        <v>64</v>
      </c>
      <c r="G14" s="21">
        <v>13.45</v>
      </c>
      <c r="H14" s="21">
        <v>70</v>
      </c>
      <c r="I14" s="21" t="s">
        <v>64</v>
      </c>
      <c r="J14" s="49"/>
      <c r="K14" s="42"/>
      <c r="L14" s="43"/>
    </row>
    <row r="15" spans="1:12" ht="12.75">
      <c r="A15" s="52" t="s">
        <v>6</v>
      </c>
      <c r="B15" s="33" t="s">
        <v>83</v>
      </c>
      <c r="C15" s="21">
        <v>27.5</v>
      </c>
      <c r="D15" s="21">
        <v>27.5</v>
      </c>
      <c r="E15" s="21">
        <v>45.06</v>
      </c>
      <c r="F15" s="21">
        <v>15.16</v>
      </c>
      <c r="G15" s="21">
        <v>21.71</v>
      </c>
      <c r="H15" s="21" t="s">
        <v>64</v>
      </c>
      <c r="I15" s="21" t="s">
        <v>64</v>
      </c>
      <c r="J15" s="49"/>
      <c r="K15" s="16"/>
      <c r="L15" s="16"/>
    </row>
    <row r="16" spans="1:12" ht="12.75">
      <c r="A16" s="52" t="s">
        <v>7</v>
      </c>
      <c r="B16" s="34"/>
      <c r="C16" s="21"/>
      <c r="D16" s="21">
        <v>14</v>
      </c>
      <c r="E16" s="21" t="s">
        <v>64</v>
      </c>
      <c r="F16" s="21" t="s">
        <v>64</v>
      </c>
      <c r="G16" s="21"/>
      <c r="H16" s="21"/>
      <c r="I16" s="21"/>
      <c r="J16" s="49"/>
      <c r="K16" s="16"/>
      <c r="L16" s="16"/>
    </row>
    <row r="17" spans="1:12" ht="12.75">
      <c r="A17" s="52" t="s">
        <v>8</v>
      </c>
      <c r="B17" s="34"/>
      <c r="C17" s="21"/>
      <c r="D17" s="21">
        <v>6</v>
      </c>
      <c r="E17" s="21"/>
      <c r="F17" s="21"/>
      <c r="G17" s="21"/>
      <c r="H17" s="21">
        <v>12</v>
      </c>
      <c r="I17" s="21">
        <v>12</v>
      </c>
      <c r="J17" s="49"/>
      <c r="K17" s="16"/>
      <c r="L17" s="16"/>
    </row>
    <row r="18" spans="1:12" ht="12.75">
      <c r="A18" s="52" t="s">
        <v>9</v>
      </c>
      <c r="B18" s="33" t="s">
        <v>92</v>
      </c>
      <c r="C18" s="21">
        <v>125</v>
      </c>
      <c r="D18" s="21">
        <v>0</v>
      </c>
      <c r="E18" s="21">
        <v>90</v>
      </c>
      <c r="F18" s="21">
        <v>49.2</v>
      </c>
      <c r="G18" s="21">
        <v>45</v>
      </c>
      <c r="H18" s="21">
        <v>18.73</v>
      </c>
      <c r="I18" s="21">
        <v>25.6</v>
      </c>
      <c r="J18" s="49"/>
      <c r="K18" s="16"/>
      <c r="L18" s="16"/>
    </row>
    <row r="19" spans="1:12" ht="12.75">
      <c r="A19" s="52" t="s">
        <v>10</v>
      </c>
      <c r="B19" s="33" t="s">
        <v>79</v>
      </c>
      <c r="C19" s="21">
        <v>40</v>
      </c>
      <c r="D19" s="21">
        <v>30</v>
      </c>
      <c r="E19" s="21">
        <v>6</v>
      </c>
      <c r="F19" s="21">
        <v>7.6</v>
      </c>
      <c r="G19" s="21">
        <v>10</v>
      </c>
      <c r="H19" s="21" t="s">
        <v>64</v>
      </c>
      <c r="I19" s="21" t="s">
        <v>64</v>
      </c>
      <c r="J19" s="49"/>
      <c r="K19" s="41" t="s">
        <v>82</v>
      </c>
      <c r="L19" s="41" t="s">
        <v>81</v>
      </c>
    </row>
    <row r="20" spans="1:12" ht="12.75">
      <c r="A20" s="52" t="s">
        <v>11</v>
      </c>
      <c r="B20" s="33" t="s">
        <v>85</v>
      </c>
      <c r="C20" s="21">
        <v>32</v>
      </c>
      <c r="D20" s="21">
        <v>20</v>
      </c>
      <c r="E20" s="21">
        <v>13.75</v>
      </c>
      <c r="F20" s="21">
        <v>5.5</v>
      </c>
      <c r="G20" s="21">
        <v>13.21</v>
      </c>
      <c r="H20" s="21">
        <v>20.49</v>
      </c>
      <c r="I20" s="21">
        <v>23.42</v>
      </c>
      <c r="J20" s="49"/>
      <c r="K20" s="39"/>
      <c r="L20" s="41" t="s">
        <v>76</v>
      </c>
    </row>
    <row r="21" spans="1:12" ht="12.75">
      <c r="A21" s="52" t="s">
        <v>12</v>
      </c>
      <c r="B21" s="33" t="s">
        <v>78</v>
      </c>
      <c r="C21" s="21">
        <v>25</v>
      </c>
      <c r="D21" s="21">
        <v>17.56</v>
      </c>
      <c r="E21" s="21">
        <v>19.51</v>
      </c>
      <c r="F21" s="21">
        <v>7.81</v>
      </c>
      <c r="G21" s="21">
        <v>13.2</v>
      </c>
      <c r="H21" s="21">
        <v>28.5</v>
      </c>
      <c r="I21" s="21">
        <v>32.32</v>
      </c>
      <c r="J21" s="49"/>
      <c r="K21" s="41" t="s">
        <v>3</v>
      </c>
      <c r="L21" s="40">
        <v>74.87</v>
      </c>
    </row>
    <row r="22" spans="1:12" ht="12.75">
      <c r="A22" s="52" t="s">
        <v>13</v>
      </c>
      <c r="B22" s="33" t="s">
        <v>80</v>
      </c>
      <c r="C22" s="21">
        <v>20</v>
      </c>
      <c r="D22" s="21"/>
      <c r="E22" s="21"/>
      <c r="F22" s="21"/>
      <c r="G22" s="21"/>
      <c r="H22" s="21" t="s">
        <v>64</v>
      </c>
      <c r="I22" s="21" t="s">
        <v>64</v>
      </c>
      <c r="J22" s="49"/>
      <c r="K22" s="41" t="s">
        <v>74</v>
      </c>
      <c r="L22" s="40">
        <v>58.25</v>
      </c>
    </row>
    <row r="23" spans="1:12" ht="12.75">
      <c r="A23" s="52" t="s">
        <v>59</v>
      </c>
      <c r="B23" s="35" t="s">
        <v>69</v>
      </c>
      <c r="C23" s="21">
        <v>150</v>
      </c>
      <c r="D23" s="21">
        <f aca="true" t="shared" si="0" ref="D23:I23">C23</f>
        <v>150</v>
      </c>
      <c r="E23" s="21">
        <f t="shared" si="0"/>
        <v>150</v>
      </c>
      <c r="F23" s="21">
        <f t="shared" si="0"/>
        <v>150</v>
      </c>
      <c r="G23" s="21">
        <f t="shared" si="0"/>
        <v>150</v>
      </c>
      <c r="H23" s="21">
        <f t="shared" si="0"/>
        <v>150</v>
      </c>
      <c r="I23" s="21">
        <f t="shared" si="0"/>
        <v>150</v>
      </c>
      <c r="J23" s="49"/>
      <c r="K23" s="41" t="s">
        <v>75</v>
      </c>
      <c r="L23" s="40">
        <v>45.4</v>
      </c>
    </row>
    <row r="24" spans="1:12" ht="12.75">
      <c r="A24" s="52" t="s">
        <v>62</v>
      </c>
      <c r="B24" s="33" t="s">
        <v>93</v>
      </c>
      <c r="C24" s="21">
        <v>28</v>
      </c>
      <c r="D24" s="21">
        <v>6.72</v>
      </c>
      <c r="E24" s="21"/>
      <c r="F24" s="21"/>
      <c r="G24" s="21">
        <v>7.5</v>
      </c>
      <c r="H24" s="21"/>
      <c r="I24" s="21"/>
      <c r="J24" s="49"/>
      <c r="K24" s="41" t="s">
        <v>61</v>
      </c>
      <c r="L24" s="40">
        <v>32.29</v>
      </c>
    </row>
    <row r="25" spans="1:12" ht="12.75">
      <c r="A25" s="52" t="s">
        <v>60</v>
      </c>
      <c r="B25" s="33" t="s">
        <v>94</v>
      </c>
      <c r="C25" s="21">
        <f>6.5+8</f>
        <v>14.5</v>
      </c>
      <c r="D25" s="21">
        <v>6.5</v>
      </c>
      <c r="E25" s="21">
        <v>12.26</v>
      </c>
      <c r="F25" s="21">
        <v>10.71</v>
      </c>
      <c r="G25" s="21">
        <v>2.72</v>
      </c>
      <c r="H25" s="21">
        <v>34</v>
      </c>
      <c r="I25" s="21">
        <v>43.12</v>
      </c>
      <c r="J25" s="49"/>
      <c r="K25" s="41" t="s">
        <v>63</v>
      </c>
      <c r="L25" s="40">
        <v>39</v>
      </c>
    </row>
    <row r="26" spans="1:12" ht="12.75">
      <c r="A26" s="52" t="s">
        <v>86</v>
      </c>
      <c r="B26" s="33" t="s">
        <v>87</v>
      </c>
      <c r="C26" s="21"/>
      <c r="D26" s="21"/>
      <c r="E26" s="21"/>
      <c r="F26" s="21"/>
      <c r="G26" s="21"/>
      <c r="H26" s="21"/>
      <c r="I26" s="21"/>
      <c r="J26" s="49"/>
      <c r="K26" s="41" t="s">
        <v>65</v>
      </c>
      <c r="L26" s="40">
        <v>79.47</v>
      </c>
    </row>
    <row r="27" spans="1:12" ht="12.75">
      <c r="A27" s="52" t="s">
        <v>14</v>
      </c>
      <c r="B27" s="33" t="s">
        <v>71</v>
      </c>
      <c r="C27" s="21">
        <v>2</v>
      </c>
      <c r="D27" s="21">
        <v>2</v>
      </c>
      <c r="E27" s="21">
        <v>1</v>
      </c>
      <c r="F27" s="21">
        <v>1</v>
      </c>
      <c r="G27" s="21">
        <v>1</v>
      </c>
      <c r="H27" s="21">
        <v>3.5</v>
      </c>
      <c r="I27" s="21">
        <v>6.69</v>
      </c>
      <c r="J27" s="49"/>
      <c r="K27" s="41" t="s">
        <v>64</v>
      </c>
      <c r="L27" s="68" t="s">
        <v>64</v>
      </c>
    </row>
    <row r="28" spans="1:12" ht="12.75">
      <c r="A28" s="52" t="s">
        <v>15</v>
      </c>
      <c r="B28" s="31" t="s">
        <v>70</v>
      </c>
      <c r="C28" s="22">
        <f>SUM(C14:C27)*0.045*6/12</f>
        <v>12.69</v>
      </c>
      <c r="D28" s="22">
        <f>SUM(D14:D27)*0.045*6/12</f>
        <v>7.33455</v>
      </c>
      <c r="E28" s="22">
        <f>SUM(E14:E27)*0.08*6/12</f>
        <v>13.5032</v>
      </c>
      <c r="F28" s="22">
        <f>SUM(F14:F27)*0.08*6/12</f>
        <v>9.879199999999999</v>
      </c>
      <c r="G28" s="22">
        <f>SUM(G14:G27)*0.08*6/12</f>
        <v>11.111600000000001</v>
      </c>
      <c r="H28" s="22">
        <f>SUM(H14:H27)*0.08*6/12</f>
        <v>13.488800000000003</v>
      </c>
      <c r="I28" s="22">
        <f>SUM(I14:I27)*0.08*6/12</f>
        <v>11.725999999999999</v>
      </c>
      <c r="J28" s="50"/>
      <c r="K28" s="16"/>
      <c r="L28" s="16"/>
    </row>
    <row r="29" spans="1:12" ht="12.75">
      <c r="A29" s="15" t="s">
        <v>23</v>
      </c>
      <c r="B29" s="31" t="s">
        <v>70</v>
      </c>
      <c r="C29" s="23">
        <f aca="true" t="shared" si="1" ref="C29:I29">SUM(C14:C28)</f>
        <v>576.69</v>
      </c>
      <c r="D29" s="23">
        <f t="shared" si="1"/>
        <v>333.31455</v>
      </c>
      <c r="E29" s="23">
        <f t="shared" si="1"/>
        <v>351.0832</v>
      </c>
      <c r="F29" s="23">
        <f t="shared" si="1"/>
        <v>256.8592</v>
      </c>
      <c r="G29" s="23">
        <f t="shared" si="1"/>
        <v>288.90160000000003</v>
      </c>
      <c r="H29" s="23">
        <f t="shared" si="1"/>
        <v>350.70880000000005</v>
      </c>
      <c r="I29" s="23">
        <f t="shared" si="1"/>
        <v>304.876</v>
      </c>
      <c r="J29" s="48"/>
      <c r="K29" s="41" t="s">
        <v>82</v>
      </c>
      <c r="L29" s="41" t="s">
        <v>77</v>
      </c>
    </row>
    <row r="30" spans="1:12" ht="12.75">
      <c r="A30" s="16"/>
      <c r="B30" s="32"/>
      <c r="C30" s="16"/>
      <c r="D30" s="16"/>
      <c r="E30" s="16"/>
      <c r="F30" s="16"/>
      <c r="G30" s="16"/>
      <c r="H30" s="16"/>
      <c r="I30" s="16"/>
      <c r="J30" s="19"/>
      <c r="K30" s="39"/>
      <c r="L30" s="41" t="s">
        <v>76</v>
      </c>
    </row>
    <row r="31" spans="1:12" ht="12.75">
      <c r="A31" s="16" t="s">
        <v>21</v>
      </c>
      <c r="B31" s="31" t="s">
        <v>70</v>
      </c>
      <c r="C31" s="20">
        <f aca="true" t="shared" si="2" ref="C31:I31">C11-C29</f>
        <v>90.93499999999983</v>
      </c>
      <c r="D31" s="20">
        <f t="shared" si="2"/>
        <v>90.93499999999983</v>
      </c>
      <c r="E31" s="20">
        <f t="shared" si="2"/>
        <v>90.93499999999983</v>
      </c>
      <c r="F31" s="20">
        <f t="shared" si="2"/>
        <v>90.93499999999983</v>
      </c>
      <c r="G31" s="20">
        <f t="shared" si="2"/>
        <v>90.93499999999983</v>
      </c>
      <c r="H31" s="20">
        <f t="shared" si="2"/>
        <v>90.93499999999983</v>
      </c>
      <c r="I31" s="20">
        <f t="shared" si="2"/>
        <v>90.93499999999983</v>
      </c>
      <c r="J31" s="48"/>
      <c r="K31" s="41" t="s">
        <v>3</v>
      </c>
      <c r="L31" s="40">
        <v>158.53</v>
      </c>
    </row>
    <row r="32" spans="1:12" ht="12.75">
      <c r="A32" s="16" t="s">
        <v>24</v>
      </c>
      <c r="B32" s="31"/>
      <c r="C32" s="20"/>
      <c r="D32" s="20"/>
      <c r="E32" s="20"/>
      <c r="F32" s="20"/>
      <c r="G32" s="20"/>
      <c r="H32" s="20"/>
      <c r="I32" s="20"/>
      <c r="J32" s="48"/>
      <c r="K32" s="41" t="s">
        <v>74</v>
      </c>
      <c r="L32" s="40">
        <v>134.96</v>
      </c>
    </row>
    <row r="33" spans="1:13" ht="12.75">
      <c r="A33" s="15" t="s">
        <v>72</v>
      </c>
      <c r="B33" s="37" t="s">
        <v>70</v>
      </c>
      <c r="C33" s="17">
        <v>74.87</v>
      </c>
      <c r="D33" s="17">
        <v>58.25</v>
      </c>
      <c r="E33" s="17">
        <v>45.4</v>
      </c>
      <c r="F33" s="17">
        <v>32.29</v>
      </c>
      <c r="G33" s="17">
        <v>39</v>
      </c>
      <c r="H33" s="17">
        <v>97</v>
      </c>
      <c r="I33" s="17">
        <v>97</v>
      </c>
      <c r="J33" s="51"/>
      <c r="K33" s="41" t="s">
        <v>75</v>
      </c>
      <c r="L33" s="40">
        <v>139.52</v>
      </c>
      <c r="M33" s="1"/>
    </row>
    <row r="34" spans="1:12" ht="12.75">
      <c r="A34" s="16" t="s">
        <v>73</v>
      </c>
      <c r="B34" s="37" t="s">
        <v>70</v>
      </c>
      <c r="C34" s="20">
        <f>C31-C33</f>
        <v>16.064999999999827</v>
      </c>
      <c r="D34" s="20">
        <f aca="true" t="shared" si="3" ref="D34:I34">D31-D33</f>
        <v>32.68499999999983</v>
      </c>
      <c r="E34" s="20">
        <f t="shared" si="3"/>
        <v>45.53499999999983</v>
      </c>
      <c r="F34" s="20">
        <f t="shared" si="3"/>
        <v>58.64499999999983</v>
      </c>
      <c r="G34" s="20">
        <f t="shared" si="3"/>
        <v>51.93499999999983</v>
      </c>
      <c r="H34" s="20">
        <f t="shared" si="3"/>
        <v>-6.065000000000168</v>
      </c>
      <c r="I34" s="20">
        <f t="shared" si="3"/>
        <v>-6.065000000000168</v>
      </c>
      <c r="J34" s="48"/>
      <c r="K34" s="41" t="s">
        <v>61</v>
      </c>
      <c r="L34" s="40">
        <v>88.37</v>
      </c>
    </row>
    <row r="35" spans="1:12" ht="12.75">
      <c r="A35" s="16" t="s">
        <v>88</v>
      </c>
      <c r="B35" s="37" t="s">
        <v>70</v>
      </c>
      <c r="C35" s="67">
        <f>C29/C9</f>
        <v>3.295371428571429</v>
      </c>
      <c r="D35" s="67">
        <f aca="true" t="shared" si="4" ref="D35:I35">D29/D9</f>
        <v>7.9360607142857145</v>
      </c>
      <c r="E35" s="67">
        <f t="shared" si="4"/>
        <v>46.81109333333333</v>
      </c>
      <c r="F35" s="67">
        <f t="shared" si="4"/>
        <v>0.07338834285714285</v>
      </c>
      <c r="G35" s="67">
        <f t="shared" si="4"/>
        <v>5.7780320000000005</v>
      </c>
      <c r="H35" s="67">
        <f t="shared" si="4"/>
        <v>116.90293333333335</v>
      </c>
      <c r="I35" s="67">
        <f t="shared" si="4"/>
        <v>67.75022222222222</v>
      </c>
      <c r="J35" s="48"/>
      <c r="K35" s="41" t="s">
        <v>63</v>
      </c>
      <c r="L35" s="40">
        <v>125</v>
      </c>
    </row>
    <row r="36" spans="1:12" ht="12.75">
      <c r="A36" s="16" t="s">
        <v>89</v>
      </c>
      <c r="B36" s="37" t="s">
        <v>70</v>
      </c>
      <c r="C36" s="67">
        <f>(C29+C33)/C9</f>
        <v>3.7232000000000003</v>
      </c>
      <c r="D36" s="67">
        <f aca="true" t="shared" si="5" ref="D36:I36">(D29+D33)/D9</f>
        <v>9.322965476190475</v>
      </c>
      <c r="E36" s="67">
        <f t="shared" si="5"/>
        <v>52.86442666666666</v>
      </c>
      <c r="F36" s="67">
        <f t="shared" si="5"/>
        <v>0.08261405714285715</v>
      </c>
      <c r="G36" s="67">
        <f t="shared" si="5"/>
        <v>6.558032000000001</v>
      </c>
      <c r="H36" s="67">
        <f t="shared" si="5"/>
        <v>149.2362666666667</v>
      </c>
      <c r="I36" s="67">
        <f t="shared" si="5"/>
        <v>89.30577777777778</v>
      </c>
      <c r="J36" s="48"/>
      <c r="K36" s="41" t="s">
        <v>65</v>
      </c>
      <c r="L36" s="40">
        <v>155.18</v>
      </c>
    </row>
    <row r="37" spans="1:12" ht="12.75">
      <c r="A37" s="15" t="s">
        <v>90</v>
      </c>
      <c r="B37" s="28"/>
      <c r="C37" s="16"/>
      <c r="D37" s="16"/>
      <c r="E37" s="16"/>
      <c r="F37" s="16"/>
      <c r="G37" s="16"/>
      <c r="H37" s="16"/>
      <c r="I37" s="16"/>
      <c r="J37" s="19"/>
      <c r="K37" s="41" t="s">
        <v>64</v>
      </c>
      <c r="L37" s="68" t="s">
        <v>64</v>
      </c>
    </row>
    <row r="38" spans="1:12" ht="12.75">
      <c r="A38" s="16" t="s">
        <v>27</v>
      </c>
      <c r="B38" s="29"/>
      <c r="C38" s="16"/>
      <c r="D38" s="16"/>
      <c r="E38" s="16"/>
      <c r="F38" s="16"/>
      <c r="G38" s="16"/>
      <c r="H38" s="16"/>
      <c r="I38" s="16"/>
      <c r="J38" s="19"/>
      <c r="K38" s="16"/>
      <c r="L38" s="16"/>
    </row>
  </sheetData>
  <sheetProtection/>
  <conditionalFormatting sqref="C10:E10">
    <cfRule type="cellIs" priority="1" dxfId="0" operator="equal" stopIfTrue="1">
      <formula>C10*C7</formula>
    </cfRule>
  </conditionalFormatting>
  <conditionalFormatting sqref="G7:J7 M7">
    <cfRule type="cellIs" priority="2" dxfId="1" operator="equal" stopIfTrue="1">
      <formula>1</formula>
    </cfRule>
  </conditionalFormatting>
  <printOptions/>
  <pageMargins left="0.5" right="0.2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8"/>
  <sheetViews>
    <sheetView zoomScale="90" zoomScaleNormal="90" workbookViewId="0" topLeftCell="A1">
      <selection activeCell="C19" sqref="C19"/>
    </sheetView>
  </sheetViews>
  <sheetFormatPr defaultColWidth="9.140625" defaultRowHeight="12.75"/>
  <cols>
    <col min="1" max="1" width="14.8515625" style="0" customWidth="1"/>
    <col min="2" max="2" width="13.140625" style="30" customWidth="1"/>
    <col min="3" max="3" width="8.8515625" style="0" customWidth="1"/>
    <col min="4" max="4" width="9.8515625" style="0" bestFit="1" customWidth="1"/>
    <col min="5" max="5" width="11.57421875" style="0" bestFit="1" customWidth="1"/>
    <col min="6" max="8" width="8.8515625" style="0" customWidth="1"/>
    <col min="9" max="9" width="11.28125" style="0" bestFit="1" customWidth="1"/>
    <col min="10" max="10" width="2.28125" style="5" customWidth="1"/>
    <col min="11" max="11" width="8.8515625" style="0" customWidth="1"/>
    <col min="12" max="12" width="9.57421875" style="0" bestFit="1" customWidth="1"/>
    <col min="13" max="13" width="8.8515625" style="0" customWidth="1"/>
  </cols>
  <sheetData>
    <row r="1" spans="1:20" ht="12.75">
      <c r="A1" s="15" t="s">
        <v>91</v>
      </c>
      <c r="B1" s="28"/>
      <c r="C1" s="16"/>
      <c r="D1" s="16"/>
      <c r="E1" s="16"/>
      <c r="F1" s="16"/>
      <c r="G1" s="16"/>
      <c r="H1" s="15"/>
      <c r="I1" s="16"/>
      <c r="J1" s="19"/>
      <c r="K1" s="16"/>
      <c r="L1" s="15" t="s">
        <v>64</v>
      </c>
      <c r="T1" s="2"/>
    </row>
    <row r="2" spans="1:12" ht="13.5" thickBot="1">
      <c r="A2" s="16"/>
      <c r="B2" s="29"/>
      <c r="C2" s="16"/>
      <c r="D2" s="15"/>
      <c r="E2" s="15"/>
      <c r="F2" s="16"/>
      <c r="G2" s="38"/>
      <c r="H2" s="16"/>
      <c r="I2" s="16"/>
      <c r="J2" s="19"/>
      <c r="K2" s="16"/>
      <c r="L2" s="16"/>
    </row>
    <row r="3" spans="1:19" ht="12.75">
      <c r="A3" s="16"/>
      <c r="B3" s="29"/>
      <c r="C3" s="16" t="s">
        <v>25</v>
      </c>
      <c r="D3" s="16"/>
      <c r="E3" s="16"/>
      <c r="F3" s="53" t="str">
        <f>HLOOKUP(1,C7:M8,2,FALSE)</f>
        <v>Corn</v>
      </c>
      <c r="G3" s="56">
        <v>4.015</v>
      </c>
      <c r="H3" s="55"/>
      <c r="I3" s="16"/>
      <c r="J3" s="19"/>
      <c r="K3" s="16"/>
      <c r="L3" s="16"/>
      <c r="S3" s="3"/>
    </row>
    <row r="4" spans="1:12" ht="12.75">
      <c r="A4" s="16"/>
      <c r="B4" s="29"/>
      <c r="C4" s="16" t="s">
        <v>26</v>
      </c>
      <c r="D4" s="16"/>
      <c r="E4" s="16"/>
      <c r="F4" s="54"/>
      <c r="G4" s="57">
        <v>0.2</v>
      </c>
      <c r="H4" s="55"/>
      <c r="I4" s="16"/>
      <c r="J4" s="19"/>
      <c r="K4" s="16"/>
      <c r="L4" s="16"/>
    </row>
    <row r="5" spans="1:24" ht="13.5" thickBot="1">
      <c r="A5" s="16"/>
      <c r="B5" s="29"/>
      <c r="C5" s="16" t="s">
        <v>16</v>
      </c>
      <c r="D5" s="16"/>
      <c r="E5" s="16"/>
      <c r="F5" s="53" t="str">
        <f>F3</f>
        <v>Corn</v>
      </c>
      <c r="G5" s="58">
        <f>G3-G4</f>
        <v>3.8149999999999995</v>
      </c>
      <c r="H5" s="55"/>
      <c r="I5" s="16"/>
      <c r="J5" s="19"/>
      <c r="K5" s="16"/>
      <c r="L5" s="16"/>
      <c r="X5" t="s">
        <v>19</v>
      </c>
    </row>
    <row r="6" spans="1:27" ht="12.75">
      <c r="A6" s="16"/>
      <c r="B6" s="29"/>
      <c r="C6" s="16"/>
      <c r="D6" s="16"/>
      <c r="E6" s="16"/>
      <c r="F6" s="18"/>
      <c r="G6" s="44"/>
      <c r="H6" s="16"/>
      <c r="I6" s="16"/>
      <c r="J6" s="19"/>
      <c r="K6" s="16"/>
      <c r="L6" s="16"/>
      <c r="X6" t="s">
        <v>20</v>
      </c>
      <c r="AA6">
        <f>IF(SUM(X7:Z7)=1,1,"error")</f>
        <v>1</v>
      </c>
    </row>
    <row r="7" spans="1:26" ht="12.75">
      <c r="A7" s="16" t="s">
        <v>22</v>
      </c>
      <c r="B7" s="29"/>
      <c r="C7" s="27">
        <v>1</v>
      </c>
      <c r="D7" s="6">
        <v>0</v>
      </c>
      <c r="E7" s="6">
        <v>0</v>
      </c>
      <c r="F7" s="24">
        <f>IF(SUM(C7:E7)&lt;&gt;1,"&lt;=Enter 1 for only one crop to assign it as the base crop.","")</f>
      </c>
      <c r="G7" s="25"/>
      <c r="H7" s="26" t="s">
        <v>66</v>
      </c>
      <c r="I7" s="26" t="s">
        <v>67</v>
      </c>
      <c r="J7" s="42"/>
      <c r="K7" s="42"/>
      <c r="L7" s="42"/>
      <c r="M7" s="5"/>
      <c r="O7" s="4"/>
      <c r="X7">
        <f>IF(C7=1,1,0)</f>
        <v>1</v>
      </c>
      <c r="Y7">
        <f>IF(D7=1,1,0)</f>
        <v>0</v>
      </c>
      <c r="Z7">
        <f>IF(E7=1,1,0)</f>
        <v>0</v>
      </c>
    </row>
    <row r="8" spans="1:12" ht="13.5" thickBot="1">
      <c r="A8" s="16"/>
      <c r="B8" s="31" t="s">
        <v>68</v>
      </c>
      <c r="C8" s="61" t="s">
        <v>3</v>
      </c>
      <c r="D8" s="62" t="s">
        <v>58</v>
      </c>
      <c r="E8" s="62" t="s">
        <v>57</v>
      </c>
      <c r="F8" s="61" t="s">
        <v>61</v>
      </c>
      <c r="G8" s="61" t="s">
        <v>63</v>
      </c>
      <c r="H8" s="61" t="s">
        <v>65</v>
      </c>
      <c r="I8" s="61" t="s">
        <v>65</v>
      </c>
      <c r="J8" s="45"/>
      <c r="K8" s="19"/>
      <c r="L8" s="42"/>
    </row>
    <row r="9" spans="1:24" ht="13.5" thickBot="1">
      <c r="A9" s="16" t="s">
        <v>0</v>
      </c>
      <c r="B9" s="59" t="s">
        <v>69</v>
      </c>
      <c r="C9" s="64">
        <v>175</v>
      </c>
      <c r="D9" s="65">
        <v>42</v>
      </c>
      <c r="E9" s="65">
        <v>7.5</v>
      </c>
      <c r="F9" s="65">
        <v>3500</v>
      </c>
      <c r="G9" s="65">
        <v>50</v>
      </c>
      <c r="H9" s="65">
        <v>3</v>
      </c>
      <c r="I9" s="66">
        <v>4.5</v>
      </c>
      <c r="J9" s="60"/>
      <c r="K9" s="42"/>
      <c r="L9" s="43"/>
      <c r="X9" t="s">
        <v>18</v>
      </c>
    </row>
    <row r="10" spans="1:26" ht="12.75">
      <c r="A10" s="16" t="s">
        <v>1</v>
      </c>
      <c r="B10" s="31" t="s">
        <v>70</v>
      </c>
      <c r="C10" s="63">
        <f>IF($AA$6=1,IF(C7=1,$G$5,C11/C9),"      -------")</f>
        <v>3.8149999999999995</v>
      </c>
      <c r="D10" s="63">
        <f>IF($AA$6=1,IF(D7=1,$G$5,D11/D9),"      -------")</f>
        <v>10.10117976190476</v>
      </c>
      <c r="E10" s="63">
        <f>IF($AA$6=1,IF(E7=1,$G$5,E11/E9),"      -------")</f>
        <v>58.58575999999998</v>
      </c>
      <c r="F10" s="63">
        <f>IF($AA$6=1,F11/F9,"      -------")</f>
        <v>0.0986197714285714</v>
      </c>
      <c r="G10" s="63">
        <f>IF($AA$6=1,G11/G9,"      -------")</f>
        <v>7.544231999999997</v>
      </c>
      <c r="H10" s="63">
        <f>IF($AA$6=1,H11/H9,"      -------")</f>
        <v>146.33959999999996</v>
      </c>
      <c r="I10" s="63">
        <f>IF($AA$6=1,I11/I9,"      -------")</f>
        <v>87.37466666666666</v>
      </c>
      <c r="J10" s="46"/>
      <c r="K10" s="42"/>
      <c r="L10" s="43"/>
      <c r="X10">
        <f>IF(C7=1,C31,0)</f>
        <v>244.3099999999999</v>
      </c>
      <c r="Y10">
        <f>IF(D7=1,D31,0)</f>
        <v>0</v>
      </c>
      <c r="Z10">
        <f>IF(E7=1,E31,0)</f>
        <v>0</v>
      </c>
    </row>
    <row r="11" spans="1:24" ht="12.75">
      <c r="A11" s="16" t="s">
        <v>2</v>
      </c>
      <c r="B11" s="31" t="s">
        <v>70</v>
      </c>
      <c r="C11" s="36">
        <f>IF($AA$6=1,IF(C7=1,C9*C10,$X$12+C29),"      -------")</f>
        <v>667.6249999999999</v>
      </c>
      <c r="D11" s="36">
        <f>IF($AA$6=1,IF(D7=1,D9*D10,$X$12+D29),"      -------")</f>
        <v>424.2495499999999</v>
      </c>
      <c r="E11" s="36">
        <f>IF($AA$6=1,IF(E7=1,E9*E10,$X$12+E29),"      -------")</f>
        <v>439.39319999999987</v>
      </c>
      <c r="F11" s="36">
        <f>IF($AA$6=1,$X$12+F29,"      -------")</f>
        <v>345.1691999999999</v>
      </c>
      <c r="G11" s="36">
        <f>IF($AA$6=1,$X$12+G29,"      -------")</f>
        <v>377.21159999999986</v>
      </c>
      <c r="H11" s="36">
        <f>IF($AA$6=1,$X$12+H29,"      -------")</f>
        <v>439.0187999999999</v>
      </c>
      <c r="I11" s="36">
        <f>IF($AA$6=1,$X$12+I29,"      -------")</f>
        <v>393.1859999999999</v>
      </c>
      <c r="J11" s="47"/>
      <c r="K11" s="42"/>
      <c r="L11" s="43"/>
      <c r="X11" t="s">
        <v>17</v>
      </c>
    </row>
    <row r="12" spans="1:24" ht="12.75">
      <c r="A12" s="16"/>
      <c r="B12" s="32"/>
      <c r="C12" s="20"/>
      <c r="D12" s="20"/>
      <c r="E12" s="20"/>
      <c r="F12" s="20"/>
      <c r="G12" s="20"/>
      <c r="H12" s="20"/>
      <c r="I12" s="20"/>
      <c r="J12" s="48"/>
      <c r="K12" s="42"/>
      <c r="L12" s="43"/>
      <c r="X12">
        <f>SUM(X10:AH10)</f>
        <v>244.3099999999999</v>
      </c>
    </row>
    <row r="13" spans="1:12" ht="12.75">
      <c r="A13" s="15" t="s">
        <v>4</v>
      </c>
      <c r="B13" s="32"/>
      <c r="C13" s="20"/>
      <c r="D13" s="20"/>
      <c r="E13" s="20"/>
      <c r="F13" s="20"/>
      <c r="G13" s="20"/>
      <c r="H13" s="20"/>
      <c r="I13" s="20"/>
      <c r="J13" s="48"/>
      <c r="K13" s="42"/>
      <c r="L13" s="43"/>
    </row>
    <row r="14" spans="1:12" ht="12.75">
      <c r="A14" s="52" t="s">
        <v>5</v>
      </c>
      <c r="B14" s="33" t="s">
        <v>84</v>
      </c>
      <c r="C14" s="21">
        <v>100</v>
      </c>
      <c r="D14" s="21">
        <v>45.7</v>
      </c>
      <c r="E14" s="21" t="s">
        <v>64</v>
      </c>
      <c r="F14" s="21" t="s">
        <v>64</v>
      </c>
      <c r="G14" s="21">
        <v>13.45</v>
      </c>
      <c r="H14" s="21">
        <v>70</v>
      </c>
      <c r="I14" s="21" t="s">
        <v>64</v>
      </c>
      <c r="J14" s="49"/>
      <c r="K14" s="42"/>
      <c r="L14" s="43"/>
    </row>
    <row r="15" spans="1:12" ht="12.75">
      <c r="A15" s="52" t="s">
        <v>6</v>
      </c>
      <c r="B15" s="33" t="s">
        <v>83</v>
      </c>
      <c r="C15" s="21">
        <v>27.5</v>
      </c>
      <c r="D15" s="21">
        <v>27.5</v>
      </c>
      <c r="E15" s="21">
        <v>45.06</v>
      </c>
      <c r="F15" s="21">
        <v>15.16</v>
      </c>
      <c r="G15" s="21">
        <v>21.71</v>
      </c>
      <c r="H15" s="21" t="s">
        <v>64</v>
      </c>
      <c r="I15" s="21" t="s">
        <v>64</v>
      </c>
      <c r="J15" s="49"/>
      <c r="K15" s="16"/>
      <c r="L15" s="16"/>
    </row>
    <row r="16" spans="1:12" ht="12.75">
      <c r="A16" s="52" t="s">
        <v>7</v>
      </c>
      <c r="B16" s="34"/>
      <c r="C16" s="21"/>
      <c r="D16" s="21">
        <v>14</v>
      </c>
      <c r="E16" s="21" t="s">
        <v>64</v>
      </c>
      <c r="F16" s="21" t="s">
        <v>64</v>
      </c>
      <c r="G16" s="21"/>
      <c r="H16" s="21"/>
      <c r="I16" s="21"/>
      <c r="J16" s="49"/>
      <c r="K16" s="16"/>
      <c r="L16" s="16"/>
    </row>
    <row r="17" spans="1:12" ht="12.75">
      <c r="A17" s="52" t="s">
        <v>8</v>
      </c>
      <c r="B17" s="34"/>
      <c r="C17" s="21"/>
      <c r="D17" s="21">
        <v>6</v>
      </c>
      <c r="E17" s="21"/>
      <c r="F17" s="21"/>
      <c r="G17" s="21"/>
      <c r="H17" s="21">
        <v>12</v>
      </c>
      <c r="I17" s="21">
        <v>12</v>
      </c>
      <c r="J17" s="49"/>
      <c r="K17" s="16"/>
      <c r="L17" s="16"/>
    </row>
    <row r="18" spans="1:12" ht="12.75">
      <c r="A18" s="52" t="s">
        <v>9</v>
      </c>
      <c r="B18" s="33" t="s">
        <v>92</v>
      </c>
      <c r="C18" s="21">
        <v>125</v>
      </c>
      <c r="D18" s="21">
        <v>0</v>
      </c>
      <c r="E18" s="21">
        <v>90</v>
      </c>
      <c r="F18" s="21">
        <v>49.2</v>
      </c>
      <c r="G18" s="21">
        <v>45</v>
      </c>
      <c r="H18" s="21">
        <v>18.73</v>
      </c>
      <c r="I18" s="21">
        <v>25.6</v>
      </c>
      <c r="J18" s="49"/>
      <c r="K18" s="16"/>
      <c r="L18" s="16"/>
    </row>
    <row r="19" spans="1:12" ht="12.75">
      <c r="A19" s="52" t="s">
        <v>10</v>
      </c>
      <c r="B19" s="33" t="s">
        <v>79</v>
      </c>
      <c r="C19" s="21">
        <v>40</v>
      </c>
      <c r="D19" s="21">
        <v>30</v>
      </c>
      <c r="E19" s="21">
        <v>6</v>
      </c>
      <c r="F19" s="21">
        <v>7.6</v>
      </c>
      <c r="G19" s="21">
        <v>10</v>
      </c>
      <c r="H19" s="21" t="s">
        <v>64</v>
      </c>
      <c r="I19" s="21" t="s">
        <v>64</v>
      </c>
      <c r="J19" s="49"/>
      <c r="K19" s="41" t="s">
        <v>82</v>
      </c>
      <c r="L19" s="41" t="s">
        <v>81</v>
      </c>
    </row>
    <row r="20" spans="1:12" ht="12.75">
      <c r="A20" s="52" t="s">
        <v>11</v>
      </c>
      <c r="B20" s="33" t="s">
        <v>85</v>
      </c>
      <c r="C20" s="21">
        <v>32</v>
      </c>
      <c r="D20" s="21">
        <v>20</v>
      </c>
      <c r="E20" s="21">
        <v>13.75</v>
      </c>
      <c r="F20" s="21">
        <v>5.5</v>
      </c>
      <c r="G20" s="21">
        <v>13.21</v>
      </c>
      <c r="H20" s="21">
        <v>20.49</v>
      </c>
      <c r="I20" s="21">
        <v>23.42</v>
      </c>
      <c r="J20" s="49"/>
      <c r="K20" s="39"/>
      <c r="L20" s="41" t="s">
        <v>76</v>
      </c>
    </row>
    <row r="21" spans="1:12" ht="12.75">
      <c r="A21" s="52" t="s">
        <v>12</v>
      </c>
      <c r="B21" s="33" t="s">
        <v>78</v>
      </c>
      <c r="C21" s="21">
        <v>25</v>
      </c>
      <c r="D21" s="21">
        <v>17.56</v>
      </c>
      <c r="E21" s="21">
        <v>19.51</v>
      </c>
      <c r="F21" s="21">
        <v>7.81</v>
      </c>
      <c r="G21" s="21">
        <v>13.2</v>
      </c>
      <c r="H21" s="21">
        <v>28.5</v>
      </c>
      <c r="I21" s="21">
        <v>32.32</v>
      </c>
      <c r="J21" s="49"/>
      <c r="K21" s="41" t="s">
        <v>3</v>
      </c>
      <c r="L21" s="40">
        <v>74.87</v>
      </c>
    </row>
    <row r="22" spans="1:12" ht="12.75">
      <c r="A22" s="52" t="s">
        <v>13</v>
      </c>
      <c r="B22" s="33" t="s">
        <v>80</v>
      </c>
      <c r="C22" s="21">
        <v>20</v>
      </c>
      <c r="D22" s="21"/>
      <c r="E22" s="21"/>
      <c r="F22" s="21"/>
      <c r="G22" s="21"/>
      <c r="H22" s="21" t="s">
        <v>64</v>
      </c>
      <c r="I22" s="21" t="s">
        <v>64</v>
      </c>
      <c r="J22" s="49"/>
      <c r="K22" s="41" t="s">
        <v>74</v>
      </c>
      <c r="L22" s="40">
        <v>58.25</v>
      </c>
    </row>
    <row r="23" spans="1:12" ht="12.75">
      <c r="A23" s="52" t="s">
        <v>59</v>
      </c>
      <c r="B23" s="35" t="s">
        <v>69</v>
      </c>
      <c r="C23" s="21">
        <v>0</v>
      </c>
      <c r="D23" s="21">
        <f aca="true" t="shared" si="0" ref="D23:I23">C23</f>
        <v>0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  <c r="J23" s="49"/>
      <c r="K23" s="41" t="s">
        <v>75</v>
      </c>
      <c r="L23" s="40">
        <v>45.4</v>
      </c>
    </row>
    <row r="24" spans="1:12" ht="12.75">
      <c r="A24" s="52" t="s">
        <v>62</v>
      </c>
      <c r="B24" s="33" t="s">
        <v>93</v>
      </c>
      <c r="C24" s="21">
        <v>28</v>
      </c>
      <c r="D24" s="21">
        <v>6.72</v>
      </c>
      <c r="E24" s="21"/>
      <c r="F24" s="21"/>
      <c r="G24" s="21">
        <v>7.5</v>
      </c>
      <c r="H24" s="21"/>
      <c r="I24" s="21"/>
      <c r="J24" s="49"/>
      <c r="K24" s="41" t="s">
        <v>61</v>
      </c>
      <c r="L24" s="40">
        <v>32.29</v>
      </c>
    </row>
    <row r="25" spans="1:12" ht="12.75">
      <c r="A25" s="52" t="s">
        <v>60</v>
      </c>
      <c r="B25" s="33" t="s">
        <v>94</v>
      </c>
      <c r="C25" s="21">
        <f>6.5+8</f>
        <v>14.5</v>
      </c>
      <c r="D25" s="21">
        <v>6.5</v>
      </c>
      <c r="E25" s="21">
        <v>12.26</v>
      </c>
      <c r="F25" s="21">
        <v>10.71</v>
      </c>
      <c r="G25" s="21">
        <v>2.72</v>
      </c>
      <c r="H25" s="21">
        <v>34</v>
      </c>
      <c r="I25" s="21">
        <v>43.12</v>
      </c>
      <c r="J25" s="49"/>
      <c r="K25" s="41" t="s">
        <v>63</v>
      </c>
      <c r="L25" s="40">
        <v>39</v>
      </c>
    </row>
    <row r="26" spans="1:12" ht="12.75">
      <c r="A26" s="52" t="s">
        <v>86</v>
      </c>
      <c r="B26" s="33" t="s">
        <v>87</v>
      </c>
      <c r="C26" s="21"/>
      <c r="D26" s="21"/>
      <c r="E26" s="21"/>
      <c r="F26" s="21"/>
      <c r="G26" s="21"/>
      <c r="H26" s="21"/>
      <c r="I26" s="21"/>
      <c r="J26" s="49"/>
      <c r="K26" s="41" t="s">
        <v>65</v>
      </c>
      <c r="L26" s="40">
        <v>79.47</v>
      </c>
    </row>
    <row r="27" spans="1:12" ht="12.75">
      <c r="A27" s="52" t="s">
        <v>14</v>
      </c>
      <c r="B27" s="33" t="s">
        <v>71</v>
      </c>
      <c r="C27" s="21">
        <v>2</v>
      </c>
      <c r="D27" s="21">
        <v>2</v>
      </c>
      <c r="E27" s="21">
        <v>1</v>
      </c>
      <c r="F27" s="21">
        <v>1</v>
      </c>
      <c r="G27" s="21">
        <v>1</v>
      </c>
      <c r="H27" s="21">
        <v>3.5</v>
      </c>
      <c r="I27" s="21">
        <v>6.69</v>
      </c>
      <c r="J27" s="49"/>
      <c r="K27" s="41" t="s">
        <v>64</v>
      </c>
      <c r="L27" s="68" t="s">
        <v>64</v>
      </c>
    </row>
    <row r="28" spans="1:12" ht="12.75">
      <c r="A28" s="52" t="s">
        <v>15</v>
      </c>
      <c r="B28" s="31" t="s">
        <v>70</v>
      </c>
      <c r="C28" s="22">
        <f>SUM(C14:C27)*0.045*6/12</f>
        <v>9.315</v>
      </c>
      <c r="D28" s="22">
        <f>SUM(D14:D27)*0.045*6/12</f>
        <v>3.9595499999999997</v>
      </c>
      <c r="E28" s="22">
        <f>SUM(E14:E27)*0.08*6/12</f>
        <v>7.5032</v>
      </c>
      <c r="F28" s="22">
        <f>SUM(F14:F27)*0.08*6/12</f>
        <v>3.8791999999999995</v>
      </c>
      <c r="G28" s="22">
        <f>SUM(G14:G27)*0.08*6/12</f>
        <v>5.1116</v>
      </c>
      <c r="H28" s="22">
        <f>SUM(H14:H27)*0.08*6/12</f>
        <v>7.4888</v>
      </c>
      <c r="I28" s="22">
        <f>SUM(I14:I27)*0.08*6/12</f>
        <v>5.726</v>
      </c>
      <c r="J28" s="50"/>
      <c r="K28" s="16"/>
      <c r="L28" s="16"/>
    </row>
    <row r="29" spans="1:12" ht="12.75">
      <c r="A29" s="15" t="s">
        <v>23</v>
      </c>
      <c r="B29" s="31" t="s">
        <v>70</v>
      </c>
      <c r="C29" s="23">
        <f aca="true" t="shared" si="1" ref="C29:I29">SUM(C14:C28)</f>
        <v>423.315</v>
      </c>
      <c r="D29" s="23">
        <f t="shared" si="1"/>
        <v>179.93955</v>
      </c>
      <c r="E29" s="23">
        <f t="shared" si="1"/>
        <v>195.08319999999998</v>
      </c>
      <c r="F29" s="23">
        <f t="shared" si="1"/>
        <v>100.85919999999999</v>
      </c>
      <c r="G29" s="23">
        <f t="shared" si="1"/>
        <v>132.9016</v>
      </c>
      <c r="H29" s="23">
        <f t="shared" si="1"/>
        <v>194.7088</v>
      </c>
      <c r="I29" s="23">
        <f t="shared" si="1"/>
        <v>148.876</v>
      </c>
      <c r="J29" s="48"/>
      <c r="K29" s="41" t="s">
        <v>82</v>
      </c>
      <c r="L29" s="41" t="s">
        <v>77</v>
      </c>
    </row>
    <row r="30" spans="1:12" ht="12.75">
      <c r="A30" s="16"/>
      <c r="B30" s="32"/>
      <c r="C30" s="16"/>
      <c r="D30" s="16"/>
      <c r="E30" s="16"/>
      <c r="F30" s="16"/>
      <c r="G30" s="16"/>
      <c r="H30" s="16"/>
      <c r="I30" s="16"/>
      <c r="J30" s="19"/>
      <c r="K30" s="39"/>
      <c r="L30" s="41" t="s">
        <v>76</v>
      </c>
    </row>
    <row r="31" spans="1:12" ht="12.75">
      <c r="A31" s="16" t="s">
        <v>21</v>
      </c>
      <c r="B31" s="31" t="s">
        <v>70</v>
      </c>
      <c r="C31" s="20">
        <f aca="true" t="shared" si="2" ref="C31:I31">C11-C29</f>
        <v>244.3099999999999</v>
      </c>
      <c r="D31" s="20">
        <f t="shared" si="2"/>
        <v>244.3099999999999</v>
      </c>
      <c r="E31" s="20">
        <f t="shared" si="2"/>
        <v>244.3099999999999</v>
      </c>
      <c r="F31" s="20">
        <f t="shared" si="2"/>
        <v>244.3099999999999</v>
      </c>
      <c r="G31" s="20">
        <f t="shared" si="2"/>
        <v>244.30999999999986</v>
      </c>
      <c r="H31" s="20">
        <f t="shared" si="2"/>
        <v>244.3099999999999</v>
      </c>
      <c r="I31" s="20">
        <f t="shared" si="2"/>
        <v>244.30999999999992</v>
      </c>
      <c r="J31" s="48"/>
      <c r="K31" s="41" t="s">
        <v>3</v>
      </c>
      <c r="L31" s="40">
        <v>158.53</v>
      </c>
    </row>
    <row r="32" spans="1:12" ht="12.75">
      <c r="A32" s="16" t="s">
        <v>24</v>
      </c>
      <c r="B32" s="31"/>
      <c r="C32" s="20"/>
      <c r="D32" s="20"/>
      <c r="E32" s="20"/>
      <c r="F32" s="20"/>
      <c r="G32" s="20"/>
      <c r="H32" s="20"/>
      <c r="I32" s="20"/>
      <c r="J32" s="48"/>
      <c r="K32" s="41" t="s">
        <v>74</v>
      </c>
      <c r="L32" s="40">
        <v>134.96</v>
      </c>
    </row>
    <row r="33" spans="1:13" ht="12.75">
      <c r="A33" s="15" t="s">
        <v>72</v>
      </c>
      <c r="B33" s="37" t="s">
        <v>70</v>
      </c>
      <c r="C33" s="17">
        <v>158.53</v>
      </c>
      <c r="D33" s="17">
        <v>134.96</v>
      </c>
      <c r="E33" s="17">
        <v>139.52</v>
      </c>
      <c r="F33" s="17">
        <v>88.37</v>
      </c>
      <c r="G33" s="17">
        <v>125</v>
      </c>
      <c r="H33" s="17">
        <v>151</v>
      </c>
      <c r="I33" s="17">
        <v>151</v>
      </c>
      <c r="J33" s="51"/>
      <c r="K33" s="41" t="s">
        <v>75</v>
      </c>
      <c r="L33" s="40">
        <v>139.52</v>
      </c>
      <c r="M33" s="1"/>
    </row>
    <row r="34" spans="1:12" ht="12.75">
      <c r="A34" s="16" t="s">
        <v>73</v>
      </c>
      <c r="B34" s="37" t="s">
        <v>70</v>
      </c>
      <c r="C34" s="20">
        <f>C31-C33</f>
        <v>85.77999999999989</v>
      </c>
      <c r="D34" s="20">
        <f aca="true" t="shared" si="3" ref="D34:I34">D31-D33</f>
        <v>109.34999999999988</v>
      </c>
      <c r="E34" s="20">
        <f t="shared" si="3"/>
        <v>104.78999999999988</v>
      </c>
      <c r="F34" s="20">
        <f t="shared" si="3"/>
        <v>155.93999999999988</v>
      </c>
      <c r="G34" s="20">
        <f t="shared" si="3"/>
        <v>119.30999999999986</v>
      </c>
      <c r="H34" s="20">
        <f t="shared" si="3"/>
        <v>93.30999999999989</v>
      </c>
      <c r="I34" s="20">
        <f t="shared" si="3"/>
        <v>93.30999999999992</v>
      </c>
      <c r="J34" s="48"/>
      <c r="K34" s="41" t="s">
        <v>61</v>
      </c>
      <c r="L34" s="40">
        <v>88.37</v>
      </c>
    </row>
    <row r="35" spans="1:12" ht="12.75">
      <c r="A35" s="16" t="s">
        <v>88</v>
      </c>
      <c r="B35" s="37" t="s">
        <v>70</v>
      </c>
      <c r="C35" s="67">
        <f>C29/C9</f>
        <v>2.418942857142857</v>
      </c>
      <c r="D35" s="67">
        <f aca="true" t="shared" si="4" ref="D35:I35">D29/D9</f>
        <v>4.284275</v>
      </c>
      <c r="E35" s="67">
        <f t="shared" si="4"/>
        <v>26.01109333333333</v>
      </c>
      <c r="F35" s="67">
        <f t="shared" si="4"/>
        <v>0.02881691428571428</v>
      </c>
      <c r="G35" s="67">
        <f t="shared" si="4"/>
        <v>2.658032</v>
      </c>
      <c r="H35" s="67">
        <f t="shared" si="4"/>
        <v>64.90293333333334</v>
      </c>
      <c r="I35" s="67">
        <f t="shared" si="4"/>
        <v>33.083555555555556</v>
      </c>
      <c r="J35" s="48"/>
      <c r="K35" s="41" t="s">
        <v>63</v>
      </c>
      <c r="L35" s="40">
        <v>125</v>
      </c>
    </row>
    <row r="36" spans="1:12" ht="12.75">
      <c r="A36" s="16" t="s">
        <v>89</v>
      </c>
      <c r="B36" s="37" t="s">
        <v>70</v>
      </c>
      <c r="C36" s="67">
        <f>(C29+C33)/C9</f>
        <v>3.3248285714285717</v>
      </c>
      <c r="D36" s="67">
        <f aca="true" t="shared" si="5" ref="D36:I36">(D29+D33)/D9</f>
        <v>7.497608333333333</v>
      </c>
      <c r="E36" s="67">
        <f t="shared" si="5"/>
        <v>44.61376</v>
      </c>
      <c r="F36" s="67">
        <f t="shared" si="5"/>
        <v>0.05406548571428571</v>
      </c>
      <c r="G36" s="67">
        <f t="shared" si="5"/>
        <v>5.158032</v>
      </c>
      <c r="H36" s="67">
        <f t="shared" si="5"/>
        <v>115.23626666666667</v>
      </c>
      <c r="I36" s="67">
        <f t="shared" si="5"/>
        <v>66.6391111111111</v>
      </c>
      <c r="J36" s="48"/>
      <c r="K36" s="41" t="s">
        <v>65</v>
      </c>
      <c r="L36" s="40">
        <v>155.18</v>
      </c>
    </row>
    <row r="37" spans="1:12" ht="12.75">
      <c r="A37" s="15" t="s">
        <v>90</v>
      </c>
      <c r="B37" s="28"/>
      <c r="C37" s="16"/>
      <c r="D37" s="16"/>
      <c r="E37" s="16"/>
      <c r="F37" s="16"/>
      <c r="G37" s="16"/>
      <c r="H37" s="16"/>
      <c r="I37" s="16"/>
      <c r="J37" s="19"/>
      <c r="K37" s="41" t="s">
        <v>64</v>
      </c>
      <c r="L37" s="68" t="s">
        <v>64</v>
      </c>
    </row>
    <row r="38" spans="1:12" ht="12.75">
      <c r="A38" s="16" t="s">
        <v>27</v>
      </c>
      <c r="B38" s="29"/>
      <c r="C38" s="16"/>
      <c r="D38" s="16"/>
      <c r="E38" s="16"/>
      <c r="F38" s="16"/>
      <c r="G38" s="16"/>
      <c r="H38" s="16"/>
      <c r="I38" s="16"/>
      <c r="J38" s="19"/>
      <c r="K38" s="16"/>
      <c r="L38" s="16"/>
    </row>
  </sheetData>
  <conditionalFormatting sqref="C10:E10">
    <cfRule type="cellIs" priority="1" dxfId="0" operator="equal" stopIfTrue="1">
      <formula>C10*C7</formula>
    </cfRule>
  </conditionalFormatting>
  <conditionalFormatting sqref="G7:J7 M7">
    <cfRule type="cellIs" priority="2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Dwight.Aakre</dc:creator>
  <cp:keywords/>
  <dc:description/>
  <cp:lastModifiedBy>John Hobert</cp:lastModifiedBy>
  <cp:lastPrinted>2008-12-01T16:31:48Z</cp:lastPrinted>
  <dcterms:created xsi:type="dcterms:W3CDTF">2006-10-10T14:01:20Z</dcterms:created>
  <dcterms:modified xsi:type="dcterms:W3CDTF">2009-05-15T11:56:54Z</dcterms:modified>
  <cp:category/>
  <cp:version/>
  <cp:contentType/>
  <cp:contentStatus/>
</cp:coreProperties>
</file>